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82BE07B5-E490-4E64-BED2-A78E36D1A921}" xr6:coauthVersionLast="47" xr6:coauthVersionMax="47" xr10:uidLastSave="{00000000-0000-0000-0000-000000000000}"/>
  <bookViews>
    <workbookView xWindow="-108" yWindow="-108" windowWidth="23256" windowHeight="12456" tabRatio="901" firstSheet="6" activeTab="10"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65" r:id="rId10"/>
    <sheet name="SUP_Methanol" sheetId="163" r:id="rId11"/>
    <sheet name="SUP_Jetfuel" sheetId="164"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O31" i="164" l="1"/>
  <c r="O26" i="164"/>
  <c r="O21" i="164"/>
  <c r="O16" i="164"/>
  <c r="P46" i="164"/>
  <c r="S47" i="164" s="1"/>
  <c r="S48" i="164" s="1"/>
  <c r="V50" i="164" s="1"/>
  <c r="Z46" i="164" s="1"/>
  <c r="W45" i="164"/>
  <c r="L29" i="163"/>
  <c r="L24" i="163"/>
  <c r="L19" i="163"/>
  <c r="L14" i="163"/>
  <c r="R53" i="163"/>
  <c r="U49" i="163"/>
  <c r="P31" i="150"/>
  <c r="M24" i="165"/>
  <c r="M21" i="165"/>
  <c r="M18" i="165"/>
  <c r="M15" i="165"/>
  <c r="U36" i="165"/>
  <c r="K25" i="152"/>
  <c r="K22" i="152"/>
  <c r="K19" i="152"/>
  <c r="K16" i="152"/>
  <c r="Q37" i="152"/>
  <c r="Q38" i="152" s="1"/>
  <c r="S36" i="152" s="1"/>
  <c r="K23" i="148" l="1"/>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R13" i="165"/>
  <c r="Z13" i="169"/>
  <c r="AK37" i="169"/>
  <c r="AJ35" i="169"/>
  <c r="U14" i="169"/>
  <c r="U15" i="169"/>
  <c r="U16" i="169"/>
  <c r="U13" i="169"/>
  <c r="AL52" i="169"/>
  <c r="AL53" i="169"/>
  <c r="AL54" i="169"/>
  <c r="AL51" i="169"/>
  <c r="S39" i="143" l="1"/>
  <c r="K16" i="143"/>
  <c r="K14" i="143"/>
  <c r="K12" i="143"/>
  <c r="K10" i="143"/>
  <c r="AF11" i="159"/>
  <c r="AB9" i="159"/>
  <c r="M15" i="163"/>
  <c r="M13" i="165"/>
  <c r="O35" i="160"/>
  <c r="O34" i="160"/>
  <c r="Q44" i="154" l="1"/>
  <c r="Q46" i="154" s="1"/>
  <c r="K40" i="154" l="1"/>
  <c r="K39" i="154"/>
  <c r="K38" i="154"/>
  <c r="S32" i="154"/>
  <c r="S34" i="154" s="1"/>
  <c r="I32" i="154"/>
  <c r="L11" i="163" l="1"/>
  <c r="N13" i="164"/>
  <c r="O13" i="165" l="1"/>
  <c r="N18" i="164" l="1"/>
  <c r="T15" i="167"/>
  <c r="T14" i="167"/>
  <c r="T13" i="167"/>
  <c r="T12" i="167"/>
  <c r="S15" i="167"/>
  <c r="S14" i="167"/>
  <c r="S13" i="167"/>
  <c r="S12" i="167"/>
  <c r="R15" i="167"/>
  <c r="R14" i="167"/>
  <c r="R13" i="167"/>
  <c r="R12" i="167"/>
  <c r="T13" i="164"/>
  <c r="E29" i="168"/>
  <c r="D29" i="168"/>
  <c r="C29" i="168"/>
  <c r="B29" i="168"/>
  <c r="E28" i="168"/>
  <c r="D28" i="168"/>
  <c r="C28" i="168"/>
  <c r="B28" i="168"/>
  <c r="S22" i="165"/>
  <c r="S19" i="165"/>
  <c r="S16" i="165"/>
  <c r="S13" i="165"/>
  <c r="R22" i="165"/>
  <c r="R19" i="165"/>
  <c r="R16" i="165"/>
  <c r="N23" i="165"/>
  <c r="N20" i="165"/>
  <c r="N17" i="165"/>
  <c r="N14" i="165"/>
  <c r="M23" i="165"/>
  <c r="M20" i="165"/>
  <c r="M17" i="165"/>
  <c r="M14" i="165"/>
  <c r="M22" i="165"/>
  <c r="M19" i="165"/>
  <c r="M16" i="165"/>
  <c r="O22" i="165" l="1"/>
  <c r="O19" i="165"/>
  <c r="O16" i="165"/>
  <c r="T28" i="164"/>
  <c r="T23" i="164"/>
  <c r="T18" i="164"/>
  <c r="R23" i="152"/>
  <c r="R20" i="152"/>
  <c r="R17" i="152"/>
  <c r="R14" i="152"/>
  <c r="Q23" i="152"/>
  <c r="Q20" i="152"/>
  <c r="Q17" i="152"/>
  <c r="Q14" i="152"/>
  <c r="P23" i="152"/>
  <c r="P20" i="152"/>
  <c r="P17" i="152"/>
  <c r="P14" i="152"/>
  <c r="V28" i="164"/>
  <c r="V23" i="164"/>
  <c r="V18" i="164"/>
  <c r="V13" i="164"/>
  <c r="P32" i="164"/>
  <c r="P27" i="164"/>
  <c r="P22" i="164"/>
  <c r="P17" i="164"/>
  <c r="Q28" i="164"/>
  <c r="U28" i="164" s="1"/>
  <c r="Q23" i="164"/>
  <c r="U23" i="164" s="1"/>
  <c r="Q18" i="164"/>
  <c r="U18" i="164" s="1"/>
  <c r="Q13" i="164"/>
  <c r="U13" i="164" s="1"/>
  <c r="O30" i="164"/>
  <c r="O25" i="164"/>
  <c r="O20" i="164"/>
  <c r="O15" i="164"/>
  <c r="P13" i="162"/>
  <c r="O29" i="164" l="1"/>
  <c r="O24" i="164"/>
  <c r="O19" i="164"/>
  <c r="O14" i="164"/>
  <c r="N28" i="164"/>
  <c r="N23" i="164"/>
  <c r="J14" i="152"/>
  <c r="Q26" i="163"/>
  <c r="Q21" i="163"/>
  <c r="Q16" i="163"/>
  <c r="Q11" i="163"/>
  <c r="N26" i="163"/>
  <c r="N21" i="163"/>
  <c r="N16" i="163"/>
  <c r="N11" i="163"/>
  <c r="M30" i="163"/>
  <c r="M25" i="163"/>
  <c r="M20" i="163"/>
  <c r="L15" i="152"/>
  <c r="L28" i="163"/>
  <c r="L23" i="163"/>
  <c r="L18" i="163"/>
  <c r="L13" i="163"/>
  <c r="L12" i="163"/>
  <c r="L27" i="163"/>
  <c r="L22" i="163"/>
  <c r="L17" i="163"/>
  <c r="L16" i="163"/>
  <c r="L26" i="163"/>
  <c r="L21" i="163"/>
  <c r="Q8" i="158"/>
  <c r="O16" i="163" l="1"/>
  <c r="O21" i="163" s="1"/>
  <c r="O26" i="163" s="1"/>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EDCA2BB4-69D8-4450-BB81-D096AA2EF6BA}">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F0D135C0-4B93-431F-84D0-B0261A1A0C9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27B2C293-BAAA-49AC-B62B-531753BF162A}">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35FA938F-C322-494B-BDF4-50391A9DC4F8}">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19D8061A-B828-4785-ADFD-7FEA62095FD4}">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D475D9A1-62C2-44BA-A4D0-F33D162C2853}">
      <text>
        <r>
          <rPr>
            <sz val="8"/>
            <color indexed="81"/>
            <rFont val="Tahoma"/>
            <family val="2"/>
          </rPr>
          <t>Comm-IN-A 
indicates an auxillary input, thus not consider with respect the efficiency</t>
        </r>
      </text>
    </comment>
    <comment ref="K10" authorId="2" shapeId="0" xr:uid="{7C05F489-C8F6-4BB1-89FF-3C741E8B7157}">
      <text>
        <r>
          <rPr>
            <sz val="8"/>
            <color indexed="81"/>
            <rFont val="Tahoma"/>
            <family val="2"/>
          </rPr>
          <t>Comm-OUT-A 
indicates an auxillary output, thus not consider with respect the efficiency</t>
        </r>
      </text>
    </comment>
    <comment ref="AG14" authorId="2" shapeId="0" xr:uid="{B04CBFE5-DB74-48BF-9EFC-B2806DF312F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C2DD4B2D-C81D-44F6-9864-2CBB33680D74}">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C5AEBD6E-E29F-4EAF-9DB6-314358FB3F3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482CE9B3-6712-4F3A-BB18-6983C9CD3A2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9064B1EF-4181-49FE-97FD-40FDD4F8A73E}">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6C0409B5-427E-45F0-95DD-7A9B2E09FC3E}">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040A1B0C-7CA7-4A7F-B9A0-06D3D9D8B21E}">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E52D6606-E3EF-4BFA-9029-0D4ADA83755A}">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1ABCBB29-C8DF-4D89-85E6-73289556AAC3}">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87C7E097-3802-4A32-8158-5387EBA81529}">
      <text>
        <r>
          <rPr>
            <sz val="8"/>
            <color indexed="81"/>
            <rFont val="Tahoma"/>
            <family val="2"/>
          </rPr>
          <t>Comm-IN-A 
indicates an auxillary input, thus not consider with respect the efficiency</t>
        </r>
      </text>
    </comment>
    <comment ref="I10" authorId="2" shapeId="0" xr:uid="{2E7A114D-FC95-4F73-A2E0-C7CA803028C0}">
      <text>
        <r>
          <rPr>
            <sz val="8"/>
            <color indexed="81"/>
            <rFont val="Tahoma"/>
            <family val="2"/>
          </rPr>
          <t>Comm-OUT-A 
indicates an auxillary output, thus not consider with respect the efficiency</t>
        </r>
      </text>
    </comment>
    <comment ref="AE14" authorId="2" shapeId="0" xr:uid="{526A278D-8C5C-45E3-8CA4-CDEA9C6D223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BC49FD68-7126-4D77-8431-8526388D3553}">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7F564920-51CA-418D-A986-2B61823EBE56}">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6" authorId="2" shapeId="0" xr:uid="{D25D000B-D9AD-4F14-ACB4-4C3BB844D07B}">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5D01F045-EEEF-4AE8-8874-3B7829275A19}">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ED4439B1-469B-47C9-AB09-AF6BA2C79E3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489194F3-2B27-4B9A-9DA4-7B7A0D48D3CB}">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CAFC806F-F1F4-430A-A1B7-143085EEFA53}">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603222CC-5B8B-4270-94BE-0D9651C46A7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CE471573-F9F0-4CE3-9F14-BE8E551956B3}">
      <text>
        <r>
          <rPr>
            <sz val="8"/>
            <color indexed="81"/>
            <rFont val="Tahoma"/>
            <family val="2"/>
          </rPr>
          <t>Comm-IN-A 
indicates an auxillary input, thus not consider with respect the efficiency</t>
        </r>
      </text>
    </comment>
    <comment ref="H8" authorId="2" shapeId="0" xr:uid="{3BDB7A24-2CBE-4811-B6CF-C92422085EFF}">
      <text>
        <r>
          <rPr>
            <sz val="8"/>
            <color indexed="81"/>
            <rFont val="Tahoma"/>
            <family val="2"/>
          </rPr>
          <t>Comm-OUT-A 
indicates an auxillary output, thus not consider with respect the efficiency</t>
        </r>
      </text>
    </comment>
    <comment ref="AD12" authorId="2" shapeId="0" xr:uid="{7DFA85FC-55C1-44FF-A2CF-B5845F87CFC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C0879A57-9143-4977-BDEC-F1FAE919D8D5}">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11569F15-93CD-4AB8-9BAC-485800FF541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0317FC37-88CA-4632-9A53-081F338CE702}">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<sst xmlns="http://schemas.openxmlformats.org/spreadsheetml/2006/main" count="2459" uniqueCount="703">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</sst>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166" fontId="17" fillId="3" borderId="0" xfId="1" applyNumberFormat="1" applyFont="1" applyBorder="1" applyAlignment="1">
      <alignment horizontal="left" wrapText="1"/>
    </xf>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26</xdr:row>
      <xdr:rowOff>115955</xdr:rowOff>
    </xdr:from>
    <xdr:to>
      <xdr:col>35</xdr:col>
      <xdr:colOff>463827</xdr:colOff>
      <xdr:row>73</xdr:row>
      <xdr:rowOff>150084</xdr:rowOff>
    </xdr:to>
    <xdr:pic>
      <xdr:nvPicPr>
        <xdr:cNvPr id="2" name="Picture 1">
          <a:extLst>
            <a:ext uri="{FF2B5EF4-FFF2-40B4-BE49-F238E27FC236}">
              <a16:creationId xmlns:a16="http://schemas.microsoft.com/office/drawing/2014/main" id="{125D0DA5-1DED-3D22-DC64-F45DCBCBB297}"/>
            </a:ext>
          </a:extLst>
        </xdr:cNvPr>
        <xdr:cNvPicPr>
          <a:picLocks noChangeAspect="1"/>
        </xdr:cNvPicPr>
      </xdr:nvPicPr>
      <xdr:blipFill rotWithShape="1">
        <a:blip xmlns:r="http://schemas.openxmlformats.org/officeDocument/2006/relationships" r:embed="rId1"/>
        <a:srcRect l="36138" t="21624" r="26156"/>
        <a:stretch/>
      </xdr:blipFill>
      <xdr:spPr>
        <a:xfrm>
          <a:off x="18818087" y="4787346"/>
          <a:ext cx="6973958" cy="7819781"/>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33</xdr:col>
      <xdr:colOff>474452</xdr:colOff>
      <xdr:row>55</xdr:row>
      <xdr:rowOff>43133</xdr:rowOff>
    </xdr:to>
    <xdr:pic>
      <xdr:nvPicPr>
        <xdr:cNvPr id="2" name="Picture 1">
          <a:extLst>
            <a:ext uri="{FF2B5EF4-FFF2-40B4-BE49-F238E27FC236}">
              <a16:creationId xmlns:a16="http://schemas.microsoft.com/office/drawing/2014/main" id="{D6628F98-A1EF-C044-CD46-1E29439014CE}"/>
            </a:ext>
          </a:extLst>
        </xdr:cNvPr>
        <xdr:cNvPicPr>
          <a:picLocks noChangeAspect="1"/>
        </xdr:cNvPicPr>
      </xdr:nvPicPr>
      <xdr:blipFill rotWithShape="1">
        <a:blip xmlns:r="http://schemas.openxmlformats.org/officeDocument/2006/relationships" r:embed="rId1"/>
        <a:srcRect l="27441" t="22923" r="27349" b="25358"/>
        <a:stretch/>
      </xdr:blipFill>
      <xdr:spPr>
        <a:xfrm>
          <a:off x="15470037" y="4730151"/>
          <a:ext cx="8266981" cy="5319623"/>
        </a:xfrm>
        <a:prstGeom prst="rect">
          <a:avLst/>
        </a:prstGeom>
      </xdr:spPr>
    </xdr:pic>
    <xdr:clientData/>
  </xdr:twoCellAnchor>
  <xdr:twoCellAnchor editAs="oneCell">
    <xdr:from>
      <xdr:col>9</xdr:col>
      <xdr:colOff>0</xdr:colOff>
      <xdr:row>56</xdr:row>
      <xdr:rowOff>28753</xdr:rowOff>
    </xdr:from>
    <xdr:to>
      <xdr:col>16</xdr:col>
      <xdr:colOff>301925</xdr:colOff>
      <xdr:row>90</xdr:row>
      <xdr:rowOff>43131</xdr:rowOff>
    </xdr:to>
    <xdr:pic>
      <xdr:nvPicPr>
        <xdr:cNvPr id="3" name="Picture 2">
          <a:extLst>
            <a:ext uri="{FF2B5EF4-FFF2-40B4-BE49-F238E27FC236}">
              <a16:creationId xmlns:a16="http://schemas.microsoft.com/office/drawing/2014/main" id="{1734314A-E0AE-9A5C-5A31-4E7B68C9BA97}"/>
            </a:ext>
          </a:extLst>
        </xdr:cNvPr>
        <xdr:cNvPicPr>
          <a:picLocks noChangeAspect="1"/>
        </xdr:cNvPicPr>
      </xdr:nvPicPr>
      <xdr:blipFill rotWithShape="1">
        <a:blip xmlns:r="http://schemas.openxmlformats.org/officeDocument/2006/relationships" r:embed="rId2"/>
        <a:srcRect l="27754" t="34665" r="30416" b="8164"/>
        <a:stretch/>
      </xdr:blipFill>
      <xdr:spPr>
        <a:xfrm>
          <a:off x="7274943" y="10035395"/>
          <a:ext cx="7648755" cy="5880341"/>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29</xdr:row>
      <xdr:rowOff>114300</xdr:rowOff>
    </xdr:from>
    <xdr:to>
      <xdr:col>36</xdr:col>
      <xdr:colOff>419100</xdr:colOff>
      <xdr:row>54</xdr:row>
      <xdr:rowOff>25400</xdr:rowOff>
    </xdr:to>
    <xdr:pic>
      <xdr:nvPicPr>
        <xdr:cNvPr id="2" name="Picture 1">
          <a:extLst>
            <a:ext uri="{FF2B5EF4-FFF2-40B4-BE49-F238E27FC236}">
              <a16:creationId xmlns:a16="http://schemas.microsoft.com/office/drawing/2014/main" id="{00DFA4D1-1C87-17A7-10B5-C3DFFD09835A}"/>
            </a:ext>
          </a:extLst>
        </xdr:cNvPr>
        <xdr:cNvPicPr>
          <a:picLocks noChangeAspect="1"/>
        </xdr:cNvPicPr>
      </xdr:nvPicPr>
      <xdr:blipFill rotWithShape="1">
        <a:blip xmlns:r="http://schemas.openxmlformats.org/officeDocument/2006/relationships" r:embed="rId1"/>
        <a:srcRect l="26322" t="34943" r="28880" b="25793"/>
        <a:stretch/>
      </xdr:blipFill>
      <xdr:spPr>
        <a:xfrm>
          <a:off x="20459700" y="5359400"/>
          <a:ext cx="8191500" cy="40386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9A0A5-97B0-4B60-A940-361621C66501}">
  <dimension ref="D5:AG36"/>
  <sheetViews>
    <sheetView zoomScale="54" zoomScaleNormal="84" workbookViewId="0">
      <selection activeCell="M38" sqref="M38"/>
    </sheetView>
  </sheetViews>
  <sheetFormatPr defaultRowHeight="13.2" x14ac:dyDescent="0.25"/>
  <cols>
    <col min="4" max="4" width="10.109375" bestFit="1" customWidth="1"/>
    <col min="5" max="5" width="20.33203125" bestFit="1" customWidth="1"/>
    <col min="6" max="6" width="10.88671875" bestFit="1" customWidth="1"/>
    <col min="7" max="7" width="9" bestFit="1" customWidth="1"/>
    <col min="8" max="8" width="11.109375" bestFit="1" customWidth="1"/>
    <col min="9" max="9" width="23.21875" customWidth="1"/>
    <col min="13" max="13" width="23.6640625" bestFit="1" customWidth="1"/>
    <col min="18" max="18" width="11" bestFit="1" customWidth="1"/>
    <col min="27" max="27" width="11.44140625" bestFit="1" customWidth="1"/>
    <col min="28" max="28" width="25.4414062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x14ac:dyDescent="0.25">
      <c r="F15" t="s">
        <v>647</v>
      </c>
      <c r="I15" s="93"/>
      <c r="J15" s="93">
        <v>2025</v>
      </c>
      <c r="K15" s="93"/>
      <c r="M15">
        <f>U36</f>
        <v>1500</v>
      </c>
      <c r="P15" s="95"/>
      <c r="U15" s="26"/>
      <c r="Z15" s="30"/>
      <c r="AA15" s="30"/>
      <c r="AB15" s="30"/>
      <c r="AC15" s="30"/>
      <c r="AD15" s="30"/>
      <c r="AE15" s="30"/>
      <c r="AF15" s="30"/>
      <c r="AG15" s="30"/>
    </row>
    <row r="16" spans="4:33" ht="42" thickBot="1" x14ac:dyDescent="0.3">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s="32" t="s">
        <v>35</v>
      </c>
      <c r="AA16" s="32" t="s">
        <v>21</v>
      </c>
      <c r="AB16" s="32" t="s">
        <v>22</v>
      </c>
      <c r="AC16" s="32" t="s">
        <v>23</v>
      </c>
      <c r="AD16" s="32" t="s">
        <v>24</v>
      </c>
      <c r="AE16" s="32" t="s">
        <v>40</v>
      </c>
      <c r="AF16" s="32" t="s">
        <v>39</v>
      </c>
      <c r="AG16" s="32" t="s">
        <v>25</v>
      </c>
    </row>
    <row r="17" spans="6:33" ht="13.8" thickBot="1" x14ac:dyDescent="0.3">
      <c r="F17" s="93" t="s">
        <v>160</v>
      </c>
      <c r="I17" s="93" t="s">
        <v>521</v>
      </c>
      <c r="J17" s="93">
        <v>2030</v>
      </c>
      <c r="M17">
        <f>'403.b Solid Direct air capture'!D10*1000*0.0000036</f>
        <v>5.3999999999999994E-3</v>
      </c>
      <c r="N17">
        <f>'403.b Solid Direct air capture'!D18*1000*0.0000036</f>
        <v>3.5999999999999999E-3</v>
      </c>
      <c r="P17" s="95"/>
      <c r="U17" s="26"/>
      <c r="Z17" s="32" t="s">
        <v>47</v>
      </c>
      <c r="AA17" s="32"/>
      <c r="AB17" s="32"/>
      <c r="AC17" s="32"/>
      <c r="AD17" s="32"/>
      <c r="AE17" s="32"/>
      <c r="AF17" s="32"/>
      <c r="AG17" s="32"/>
    </row>
    <row r="18" spans="6:33" x14ac:dyDescent="0.25">
      <c r="F18" t="s">
        <v>647</v>
      </c>
      <c r="I18" s="93"/>
      <c r="J18" s="93">
        <v>2030</v>
      </c>
      <c r="M18">
        <f>U36</f>
        <v>1500</v>
      </c>
      <c r="P18" s="95"/>
      <c r="U18" s="26"/>
      <c r="Z18" s="340"/>
      <c r="AA18" s="340"/>
      <c r="AB18" s="340"/>
      <c r="AC18" s="340"/>
      <c r="AD18" s="340"/>
      <c r="AE18" s="340"/>
      <c r="AF18" s="340"/>
      <c r="AG18" s="340"/>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c r="Z19" t="s">
        <v>60</v>
      </c>
      <c r="AA19" t="s">
        <v>510</v>
      </c>
      <c r="AB19" t="s">
        <v>511</v>
      </c>
      <c r="AC19" s="92" t="s">
        <v>513</v>
      </c>
      <c r="AD19" s="92" t="s">
        <v>519</v>
      </c>
      <c r="AE19" s="93" t="s">
        <v>224</v>
      </c>
      <c r="AF19" t="s">
        <v>508</v>
      </c>
      <c r="AG19" s="92" t="s">
        <v>244</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f>U36</f>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f>U36</f>
        <v>1500</v>
      </c>
    </row>
    <row r="33" spans="21:22" x14ac:dyDescent="0.25">
      <c r="U33">
        <v>1.5</v>
      </c>
      <c r="V33" t="s">
        <v>685</v>
      </c>
    </row>
    <row r="36" spans="21:22" x14ac:dyDescent="0.25">
      <c r="U36">
        <f>U33*1000000/1000</f>
        <v>1500</v>
      </c>
      <c r="V36"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BA13D3-9445-4FC5-8860-FB1AA57E02A2}">
  <dimension ref="C3:AF57"/>
  <sheetViews>
    <sheetView tabSelected="1" zoomScale="53" zoomScaleNormal="70" workbookViewId="0">
      <selection activeCell="Y17" sqref="Y17"/>
    </sheetView>
  </sheetViews>
  <sheetFormatPr defaultRowHeight="13.2" x14ac:dyDescent="0.25"/>
  <cols>
    <col min="3" max="3" width="15.88671875" bestFit="1" customWidth="1"/>
    <col min="4" max="4" width="25.44140625" bestFit="1" customWidth="1"/>
    <col min="5" max="5" width="10.88671875" bestFit="1" customWidth="1"/>
    <col min="6" max="6" width="9.5546875" bestFit="1" customWidth="1"/>
    <col min="7" max="7" width="11.6640625" bestFit="1" customWidth="1"/>
    <col min="8" max="8" width="13.109375" bestFit="1" customWidth="1"/>
    <col min="10" max="10" width="54.21875" customWidth="1"/>
    <col min="26" max="26" width="13.6640625" customWidth="1"/>
    <col min="27" max="27" width="25.8867187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31.2" customHeight="1"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ht="31.2" customHeight="1" thickBot="1" x14ac:dyDescent="0.3">
      <c r="F14" t="s">
        <v>647</v>
      </c>
      <c r="I14" s="93">
        <v>2025</v>
      </c>
      <c r="L14">
        <f>R53</f>
        <v>3216.0814363276982</v>
      </c>
      <c r="Y14" s="32"/>
      <c r="Z14" s="32"/>
      <c r="AA14" s="32"/>
      <c r="AB14" s="32"/>
      <c r="AC14" s="32"/>
      <c r="AD14" s="32"/>
      <c r="AE14" s="32"/>
      <c r="AF14" s="32"/>
    </row>
    <row r="15" spans="3:32" ht="13.8" thickBot="1" x14ac:dyDescent="0.3">
      <c r="H15" s="93" t="s">
        <v>160</v>
      </c>
      <c r="I15" s="93">
        <v>2025</v>
      </c>
      <c r="M15">
        <f>SUM('98 Methanol from Hydrogen'!D17:D18)/'98 Methanol from Hydrogen'!D16</f>
        <v>0.28205128205128205</v>
      </c>
      <c r="O15" s="95"/>
      <c r="T15" s="26"/>
      <c r="Y15" s="32" t="s">
        <v>47</v>
      </c>
      <c r="Z15" s="32"/>
      <c r="AA15" s="32"/>
      <c r="AB15" s="32"/>
      <c r="AC15" s="32"/>
      <c r="AD15" s="32"/>
      <c r="AE15" s="32"/>
      <c r="AF15" s="3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c r="Y16" t="s">
        <v>702</v>
      </c>
      <c r="Z16" t="s">
        <v>502</v>
      </c>
      <c r="AA16" t="s">
        <v>503</v>
      </c>
      <c r="AB16" s="92" t="s">
        <v>45</v>
      </c>
      <c r="AC16" s="92" t="s">
        <v>62</v>
      </c>
      <c r="AD16" s="93" t="s">
        <v>224</v>
      </c>
      <c r="AE16" s="93" t="s">
        <v>500</v>
      </c>
      <c r="AF16" s="92" t="s">
        <v>244</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1" t="s">
        <v>299</v>
      </c>
      <c r="K38" s="342">
        <v>2020</v>
      </c>
      <c r="L38" s="342">
        <v>2025</v>
      </c>
      <c r="M38" s="342">
        <v>2030</v>
      </c>
      <c r="N38" s="342">
        <v>2040</v>
      </c>
      <c r="O38" s="342">
        <v>2050</v>
      </c>
    </row>
    <row r="39" spans="10:22" ht="18.600000000000001" thickBot="1" x14ac:dyDescent="0.3">
      <c r="J39" s="343" t="s">
        <v>300</v>
      </c>
      <c r="K39" s="344" t="s">
        <v>301</v>
      </c>
      <c r="L39" s="344" t="s">
        <v>301</v>
      </c>
      <c r="M39" s="344" t="s">
        <v>301</v>
      </c>
      <c r="N39" s="344" t="s">
        <v>301</v>
      </c>
      <c r="O39" s="344" t="s">
        <v>301</v>
      </c>
    </row>
    <row r="40" spans="10:22" ht="18.600000000000001" thickBot="1" x14ac:dyDescent="0.3">
      <c r="J40" s="345" t="s">
        <v>304</v>
      </c>
      <c r="K40" s="346"/>
      <c r="L40" s="346"/>
      <c r="M40" s="346"/>
      <c r="N40" s="346"/>
      <c r="O40" s="346"/>
    </row>
    <row r="41" spans="10:22" ht="18.600000000000001" thickBot="1" x14ac:dyDescent="0.3">
      <c r="J41" s="347" t="s">
        <v>77</v>
      </c>
      <c r="K41" s="346"/>
      <c r="L41" s="346"/>
      <c r="M41" s="346"/>
      <c r="N41" s="346"/>
      <c r="O41" s="346"/>
    </row>
    <row r="42" spans="10:22" ht="18.600000000000001" thickBot="1" x14ac:dyDescent="0.3">
      <c r="J42" s="348" t="s">
        <v>392</v>
      </c>
      <c r="K42" s="349">
        <v>300</v>
      </c>
      <c r="L42" s="349">
        <v>300</v>
      </c>
      <c r="M42" s="349">
        <v>600</v>
      </c>
      <c r="N42" s="349">
        <v>900</v>
      </c>
      <c r="O42" s="349">
        <v>1200</v>
      </c>
    </row>
    <row r="43" spans="10:22" ht="18.600000000000001" thickBot="1" x14ac:dyDescent="0.3">
      <c r="J43" s="348" t="s">
        <v>393</v>
      </c>
      <c r="K43" s="349">
        <v>69</v>
      </c>
      <c r="L43" s="349">
        <v>69</v>
      </c>
      <c r="M43" s="349">
        <v>138</v>
      </c>
      <c r="N43" s="349">
        <v>207</v>
      </c>
      <c r="O43" s="349">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50"/>
      <c r="R51" s="350"/>
      <c r="S51" s="350"/>
      <c r="U51">
        <v>1</v>
      </c>
      <c r="V51" t="s">
        <v>516</v>
      </c>
    </row>
    <row r="52" spans="10:22" x14ac:dyDescent="0.25">
      <c r="M52" s="111"/>
      <c r="Q52" s="350"/>
      <c r="R52" s="350"/>
      <c r="S52" s="350"/>
      <c r="U52">
        <v>3.5999999999999998E-6</v>
      </c>
      <c r="V52" t="s">
        <v>517</v>
      </c>
    </row>
    <row r="53" spans="10:22" x14ac:dyDescent="0.25">
      <c r="Q53" s="350"/>
      <c r="R53" s="350">
        <f>U46/U49</f>
        <v>3216.0814363276982</v>
      </c>
      <c r="S53" s="351" t="s">
        <v>691</v>
      </c>
    </row>
    <row r="55" spans="10:22" x14ac:dyDescent="0.25">
      <c r="J55" s="352" t="s">
        <v>692</v>
      </c>
      <c r="U55" s="111"/>
    </row>
    <row r="57" spans="10:22" x14ac:dyDescent="0.25">
      <c r="U57" s="111"/>
    </row>
  </sheetData>
  <hyperlinks>
    <hyperlink ref="J55" r:id="rId1" display="../../../Users/panch/OneDrive/Escritorio/Master thesis/Technology cathalogue/technology_data_for_renewable_fuels.pdf" xr:uid="{283E8DB0-6394-486E-8209-12307CA2B6B5}"/>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AEC6A-5ACF-42B1-82BB-69CADDD56F64}">
  <dimension ref="F5:AI53"/>
  <sheetViews>
    <sheetView topLeftCell="D7" zoomScale="60" zoomScaleNormal="60" workbookViewId="0">
      <selection activeCell="AB19" sqref="AB19"/>
    </sheetView>
  </sheetViews>
  <sheetFormatPr defaultRowHeight="13.2" x14ac:dyDescent="0.25"/>
  <cols>
    <col min="6" max="6" width="15.6640625" bestFit="1" customWidth="1"/>
    <col min="7" max="7" width="30.6640625" bestFit="1" customWidth="1"/>
    <col min="8" max="8" width="13.88671875" bestFit="1" customWidth="1"/>
    <col min="9" max="9" width="11.33203125" bestFit="1" customWidth="1"/>
    <col min="10" max="10" width="13.5546875" bestFit="1" customWidth="1"/>
    <col min="11" max="11" width="16.44140625" bestFit="1" customWidth="1"/>
    <col min="14" max="14" width="11" bestFit="1" customWidth="1"/>
    <col min="29" max="29" width="30.6640625" customWidth="1"/>
    <col min="30" max="30" width="28.33203125" bestFit="1"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Jet'!B23/1000*8760*SUP_Jetfuel!Q13</f>
        <v>148.34749019999998</v>
      </c>
      <c r="V13">
        <f>'102 Hydrogen to Jet'!B24/('102 Hydrogen to Jet'!$S$11*1000000)</f>
        <v>1.5655611111111112</v>
      </c>
      <c r="W13" s="26">
        <v>2</v>
      </c>
      <c r="AB13" s="28" t="s">
        <v>15</v>
      </c>
      <c r="AC13" s="29"/>
      <c r="AD13" s="29"/>
      <c r="AE13" s="29"/>
      <c r="AF13" s="29"/>
      <c r="AG13" s="29"/>
      <c r="AH13" s="29"/>
      <c r="AI13" s="29"/>
    </row>
    <row r="14" spans="6:35" x14ac:dyDescent="0.25">
      <c r="H14" t="s">
        <v>41</v>
      </c>
      <c r="L14" s="93">
        <v>2020</v>
      </c>
      <c r="M14" s="93"/>
      <c r="O14">
        <f>'102 Hydrogen to Jet'!B11/'102 Hydrogen to Jet'!B13</f>
        <v>7.6923076923076919E-3</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3.8" thickBot="1" x14ac:dyDescent="0.3">
      <c r="H16" t="s">
        <v>647</v>
      </c>
      <c r="L16" s="93"/>
      <c r="O16">
        <f>Z46</f>
        <v>22133.852811331566</v>
      </c>
      <c r="R16" s="95"/>
      <c r="W16" s="26"/>
      <c r="AB16" s="32"/>
      <c r="AC16" s="32"/>
      <c r="AD16" s="32"/>
      <c r="AE16" s="32"/>
      <c r="AF16" s="32"/>
      <c r="AG16" s="32"/>
      <c r="AH16" s="32"/>
      <c r="AI16" s="32"/>
    </row>
    <row r="17" spans="8:35" ht="13.8" thickBot="1" x14ac:dyDescent="0.3">
      <c r="K17" s="93" t="s">
        <v>160</v>
      </c>
      <c r="L17" s="93">
        <v>2020</v>
      </c>
      <c r="P17">
        <f>'102 Hydrogen to Jet'!B14/'102 Hydrogen to Jet'!B13</f>
        <v>0.38461538461538458</v>
      </c>
      <c r="R17" s="95"/>
      <c r="W17" s="26"/>
      <c r="AB17" s="32" t="s">
        <v>47</v>
      </c>
      <c r="AC17" s="32"/>
      <c r="AD17" s="32"/>
      <c r="AE17" s="32"/>
      <c r="AF17" s="32"/>
      <c r="AG17" s="32"/>
      <c r="AH17" s="32"/>
      <c r="AI17" s="32"/>
    </row>
    <row r="18" spans="8:35" ht="15.6" x14ac:dyDescent="0.3">
      <c r="I18" t="s">
        <v>180</v>
      </c>
      <c r="J18" t="s">
        <v>507</v>
      </c>
      <c r="L18" s="93">
        <v>2030</v>
      </c>
      <c r="N18">
        <f>'102 Hydrogen to Jet'!C13/'102 Hydrogen to Jet'!C10</f>
        <v>0.70351758793969843</v>
      </c>
      <c r="Q18">
        <f>49/52</f>
        <v>0.94230769230769229</v>
      </c>
      <c r="R18" s="95">
        <v>25</v>
      </c>
      <c r="S18" s="16">
        <v>31.536000000000001</v>
      </c>
      <c r="T18">
        <f>'102 Hydrogen to Jet'!C20*1000</f>
        <v>1701.4399999999998</v>
      </c>
      <c r="U18">
        <f>'102 Hydrogen to Jet'!C23/1000*8760*SUP_Jetfuel!Q18</f>
        <v>111.48006659999997</v>
      </c>
      <c r="V18">
        <f>'102 Hydrogen to Jet'!C24/('102 Hydrogen to Jet'!$S$11*1000000)</f>
        <v>1.2406333333333333</v>
      </c>
      <c r="W18" s="26">
        <v>2</v>
      </c>
      <c r="AB18" t="s">
        <v>702</v>
      </c>
      <c r="AC18" s="246" t="s">
        <v>505</v>
      </c>
      <c r="AD18" s="247" t="s">
        <v>506</v>
      </c>
      <c r="AE18" s="92" t="s">
        <v>45</v>
      </c>
      <c r="AF18" s="92" t="s">
        <v>62</v>
      </c>
      <c r="AG18" s="93" t="s">
        <v>224</v>
      </c>
      <c r="AH18" t="s">
        <v>507</v>
      </c>
      <c r="AI18" s="92" t="s">
        <v>244</v>
      </c>
    </row>
    <row r="19" spans="8:35" x14ac:dyDescent="0.25">
      <c r="H19" t="s">
        <v>41</v>
      </c>
      <c r="L19" s="93">
        <v>2030</v>
      </c>
      <c r="O19">
        <f>'102 Hydrogen to Jet'!C11/'102 Hydrogen to Jet'!C13</f>
        <v>7.1428571428571435E-3</v>
      </c>
      <c r="R19" s="95"/>
      <c r="W19" s="26"/>
    </row>
    <row r="20" spans="8:35" x14ac:dyDescent="0.25">
      <c r="H20" t="s">
        <v>508</v>
      </c>
      <c r="L20" s="93">
        <v>2030</v>
      </c>
      <c r="O20">
        <f>'102 Hydrogen to Jet'!C9/('102 Hydrogen to Jet'!P13*1000)</f>
        <v>90.655509065550916</v>
      </c>
      <c r="R20" s="95"/>
      <c r="W20" s="26"/>
    </row>
    <row r="21" spans="8:35" x14ac:dyDescent="0.25">
      <c r="H21" t="s">
        <v>647</v>
      </c>
      <c r="L21" s="93"/>
      <c r="O21">
        <f>Z46</f>
        <v>22133.852811331566</v>
      </c>
      <c r="R21" s="95"/>
      <c r="W21" s="26"/>
    </row>
    <row r="22" spans="8:35" x14ac:dyDescent="0.25">
      <c r="K22" s="93" t="s">
        <v>160</v>
      </c>
      <c r="L22" s="93">
        <v>2030</v>
      </c>
      <c r="P22">
        <f>'102 Hydrogen to Jet'!C14/'102 Hydrogen to Jet'!C13</f>
        <v>0.28571428571428575</v>
      </c>
    </row>
    <row r="23" spans="8:35" x14ac:dyDescent="0.25">
      <c r="I23" t="s">
        <v>180</v>
      </c>
      <c r="J23" t="s">
        <v>507</v>
      </c>
      <c r="L23" s="93">
        <v>2040</v>
      </c>
      <c r="N23">
        <f>'102 Hydrogen to Jet'!D13/'102 Hydrogen to Jet'!D10</f>
        <v>0.73366834170854267</v>
      </c>
      <c r="Q23">
        <f>49/52</f>
        <v>0.94230769230769229</v>
      </c>
      <c r="R23">
        <v>25</v>
      </c>
      <c r="S23" s="16">
        <v>31.536000000000001</v>
      </c>
      <c r="T23">
        <f>'102 Hydrogen to Jet'!D20*1000</f>
        <v>1169.74</v>
      </c>
      <c r="U23">
        <f>'102 Hydrogen to Jet'!D23/1000*8760*SUP_Jetfuel!Q23</f>
        <v>74.612643000000006</v>
      </c>
      <c r="V23">
        <f>'102 Hydrogen to Jet'!D24/('102 Hydrogen to Jet'!$S$11*1000000)</f>
        <v>0.94524444444444444</v>
      </c>
      <c r="W23">
        <v>2</v>
      </c>
    </row>
    <row r="24" spans="8:35" x14ac:dyDescent="0.25">
      <c r="H24" t="s">
        <v>41</v>
      </c>
      <c r="L24" s="93">
        <v>2040</v>
      </c>
      <c r="O24">
        <f>'102 Hydrogen to Jet'!D11/'102 Hydrogen to Jet'!D13</f>
        <v>6.8493150684931512E-3</v>
      </c>
    </row>
    <row r="25" spans="8:35" x14ac:dyDescent="0.25">
      <c r="H25" t="s">
        <v>508</v>
      </c>
      <c r="L25" s="93">
        <v>2040</v>
      </c>
      <c r="O25">
        <f>'102 Hydrogen to Jet'!D9/('102 Hydrogen to Jet'!P13*1000)</f>
        <v>83.68200836820084</v>
      </c>
    </row>
    <row r="26" spans="8:35" x14ac:dyDescent="0.25">
      <c r="H26" t="s">
        <v>647</v>
      </c>
      <c r="L26" s="93"/>
      <c r="O26">
        <f>Z46</f>
        <v>22133.852811331566</v>
      </c>
    </row>
    <row r="27" spans="8:35" x14ac:dyDescent="0.25">
      <c r="K27" s="93" t="s">
        <v>160</v>
      </c>
      <c r="L27" s="93">
        <v>2040</v>
      </c>
      <c r="P27">
        <f>'102 Hydrogen to Jet'!D14/'102 Hydrogen to Jet'!D13</f>
        <v>0.23287671232876714</v>
      </c>
    </row>
    <row r="28" spans="8:35" x14ac:dyDescent="0.25">
      <c r="I28" t="s">
        <v>180</v>
      </c>
      <c r="J28" t="s">
        <v>507</v>
      </c>
      <c r="L28" s="93">
        <v>2050</v>
      </c>
      <c r="N28">
        <f>'102 Hydrogen to Jet'!E13/'102 Hydrogen to Jet'!E10</f>
        <v>0.75376884422110557</v>
      </c>
      <c r="Q28">
        <f>49/52</f>
        <v>0.94230769230769229</v>
      </c>
      <c r="R28" s="95">
        <v>25</v>
      </c>
      <c r="S28" s="16">
        <v>31.536000000000001</v>
      </c>
      <c r="T28">
        <f>'102 Hydrogen to Jet'!E20*1000</f>
        <v>957.06</v>
      </c>
      <c r="U28">
        <f>'102 Hydrogen to Jet'!E23/1000*8760*SUP_Jetfuel!Q28</f>
        <v>64.956889199999992</v>
      </c>
      <c r="V28">
        <f>'102 Hydrogen to Jet'!E24/('102 Hydrogen to Jet'!$S$11*1000000)</f>
        <v>0.62031666666666663</v>
      </c>
      <c r="W28">
        <v>2</v>
      </c>
    </row>
    <row r="29" spans="8:35" x14ac:dyDescent="0.25">
      <c r="H29" t="s">
        <v>41</v>
      </c>
      <c r="L29" s="93">
        <v>2050</v>
      </c>
      <c r="O29">
        <f>'102 Hydrogen to Jet'!E11/'102 Hydrogen to Jet'!E13</f>
        <v>6.6666666666666671E-3</v>
      </c>
    </row>
    <row r="30" spans="8:35" x14ac:dyDescent="0.25">
      <c r="H30" t="s">
        <v>508</v>
      </c>
      <c r="L30" s="93">
        <v>2050</v>
      </c>
      <c r="O30">
        <f>'102 Hydrogen to Jet'!E9/('102 Hydrogen to Jet'!P13*1000)</f>
        <v>76.708507670850764</v>
      </c>
    </row>
    <row r="31" spans="8:35" x14ac:dyDescent="0.25">
      <c r="H31" t="s">
        <v>647</v>
      </c>
      <c r="L31" s="93"/>
      <c r="O31">
        <f>Z46</f>
        <v>22133.852811331566</v>
      </c>
    </row>
    <row r="32" spans="8:35" x14ac:dyDescent="0.25">
      <c r="K32" s="93" t="s">
        <v>160</v>
      </c>
      <c r="L32" s="93">
        <v>2050</v>
      </c>
      <c r="P32">
        <f>'102 Hydrogen to Jet'!E14/'102 Hydrogen to Jet'!E13</f>
        <v>0.19999999999999998</v>
      </c>
    </row>
    <row r="38" spans="15:27" x14ac:dyDescent="0.25">
      <c r="U38" s="111" t="s">
        <v>696</v>
      </c>
      <c r="V38">
        <v>0.754</v>
      </c>
      <c r="W38" s="111" t="s">
        <v>697</v>
      </c>
      <c r="Z38">
        <v>20</v>
      </c>
      <c r="AA38" s="111" t="s">
        <v>698</v>
      </c>
    </row>
    <row r="39" spans="15:27" x14ac:dyDescent="0.25">
      <c r="V39">
        <v>754</v>
      </c>
      <c r="W39" s="111" t="s">
        <v>699</v>
      </c>
    </row>
    <row r="40" spans="15:27" x14ac:dyDescent="0.25">
      <c r="P40">
        <v>4800</v>
      </c>
      <c r="Q40" s="111" t="s">
        <v>694</v>
      </c>
    </row>
    <row r="42" spans="15:27" x14ac:dyDescent="0.25">
      <c r="O42">
        <v>1</v>
      </c>
      <c r="P42" s="111" t="s">
        <v>694</v>
      </c>
      <c r="W42">
        <v>1E-3</v>
      </c>
      <c r="X42" s="111" t="s">
        <v>693</v>
      </c>
    </row>
    <row r="43" spans="15:27" x14ac:dyDescent="0.25">
      <c r="O43">
        <v>0.159</v>
      </c>
      <c r="P43" s="111" t="s">
        <v>695</v>
      </c>
    </row>
    <row r="45" spans="15:27" x14ac:dyDescent="0.25">
      <c r="W45">
        <f>W42*10000*1000</f>
        <v>10000</v>
      </c>
    </row>
    <row r="46" spans="15:27" x14ac:dyDescent="0.25">
      <c r="P46">
        <f>P40*O43</f>
        <v>763.2</v>
      </c>
      <c r="Q46" s="111" t="s">
        <v>695</v>
      </c>
      <c r="Z46">
        <f>Z38*10000/V50</f>
        <v>22133.852811331566</v>
      </c>
      <c r="AA46" s="111" t="s">
        <v>691</v>
      </c>
    </row>
    <row r="47" spans="15:27" x14ac:dyDescent="0.25">
      <c r="S47">
        <f>P46*V39</f>
        <v>575452.80000000005</v>
      </c>
    </row>
    <row r="48" spans="15:27" x14ac:dyDescent="0.25">
      <c r="S48">
        <f>S47/1000</f>
        <v>575.45280000000002</v>
      </c>
      <c r="T48" s="111" t="s">
        <v>688</v>
      </c>
    </row>
    <row r="50" spans="18:23" x14ac:dyDescent="0.25">
      <c r="V50">
        <f>R53*S48*365</f>
        <v>9.0359325014399996</v>
      </c>
      <c r="W50" s="111" t="s">
        <v>700</v>
      </c>
    </row>
    <row r="53" spans="18:23" x14ac:dyDescent="0.25">
      <c r="R53">
        <v>4.3019999999999998E-5</v>
      </c>
      <c r="S53"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C3"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zoomScale="71" workbookViewId="0">
      <selection activeCell="M57" sqref="M57"/>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6" t="s">
        <v>72</v>
      </c>
      <c r="D3" s="357"/>
      <c r="E3" s="357"/>
      <c r="F3" s="357"/>
      <c r="G3" s="357"/>
      <c r="H3" s="357"/>
      <c r="I3" s="357"/>
      <c r="J3" s="357"/>
      <c r="K3" s="357"/>
      <c r="L3" s="357"/>
    </row>
    <row r="4" spans="1:13" ht="13.2" customHeight="1" x14ac:dyDescent="0.25">
      <c r="A4" s="37"/>
      <c r="B4" s="39"/>
      <c r="C4" s="40">
        <v>2020</v>
      </c>
      <c r="D4" s="40">
        <v>2030</v>
      </c>
      <c r="E4" s="40">
        <v>2040</v>
      </c>
      <c r="F4" s="40">
        <v>2050</v>
      </c>
      <c r="G4" s="358" t="s">
        <v>73</v>
      </c>
      <c r="H4" s="358"/>
      <c r="I4" s="358" t="s">
        <v>74</v>
      </c>
      <c r="J4" s="358"/>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5"/>
      <c r="E44" s="355"/>
      <c r="F44" s="355"/>
      <c r="G44" s="355"/>
      <c r="H44" s="355"/>
      <c r="I44" s="355"/>
      <c r="J44" s="355"/>
      <c r="K44" s="355"/>
      <c r="L44" s="353"/>
      <c r="M44" s="353"/>
    </row>
    <row r="45" spans="1:14" x14ac:dyDescent="0.25">
      <c r="A45" s="71"/>
      <c r="B45" s="353"/>
      <c r="C45" s="355"/>
      <c r="D45" s="355"/>
      <c r="E45" s="355"/>
      <c r="F45" s="355"/>
      <c r="G45" s="355"/>
      <c r="H45" s="355"/>
      <c r="I45" s="355"/>
      <c r="J45" s="355"/>
      <c r="K45" s="70"/>
      <c r="L45" s="353"/>
      <c r="M45" s="353"/>
    </row>
    <row r="46" spans="1:14" x14ac:dyDescent="0.25">
      <c r="A46" s="70"/>
      <c r="C46" s="353"/>
      <c r="D46" s="355"/>
      <c r="E46" s="355"/>
      <c r="F46" s="355"/>
      <c r="G46" s="355"/>
      <c r="H46" s="355"/>
      <c r="I46" s="355"/>
      <c r="J46" s="355"/>
      <c r="K46" s="355"/>
      <c r="L46" s="353"/>
      <c r="M46" s="353"/>
    </row>
    <row r="47" spans="1:14" x14ac:dyDescent="0.25">
      <c r="A47" s="70"/>
      <c r="B47" s="353"/>
      <c r="C47" s="355"/>
      <c r="D47" s="355"/>
      <c r="E47" s="355"/>
      <c r="F47" s="355"/>
      <c r="G47" s="355"/>
      <c r="H47" s="355"/>
      <c r="I47" s="355"/>
      <c r="J47" s="355"/>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4" t="s">
        <v>124</v>
      </c>
      <c r="B50" s="354"/>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6" t="s">
        <v>290</v>
      </c>
      <c r="F3" s="357"/>
      <c r="G3" s="357"/>
      <c r="H3" s="357"/>
      <c r="I3" s="357"/>
      <c r="J3" s="357"/>
      <c r="K3" s="357"/>
      <c r="L3" s="357"/>
      <c r="M3" s="357"/>
      <c r="N3" s="357"/>
    </row>
    <row r="4" spans="3:15" x14ac:dyDescent="0.25">
      <c r="C4" s="37"/>
      <c r="D4" s="39"/>
      <c r="E4" s="40">
        <v>2020</v>
      </c>
      <c r="F4" s="40">
        <v>2030</v>
      </c>
      <c r="G4" s="40">
        <v>2040</v>
      </c>
      <c r="H4" s="40">
        <v>2050</v>
      </c>
      <c r="I4" s="358" t="s">
        <v>73</v>
      </c>
      <c r="J4" s="358"/>
      <c r="K4" s="358" t="s">
        <v>74</v>
      </c>
      <c r="L4" s="358"/>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5"/>
      <c r="G44" s="355"/>
      <c r="H44" s="355"/>
      <c r="I44" s="355"/>
      <c r="J44" s="355"/>
      <c r="K44" s="355"/>
      <c r="L44" s="355"/>
      <c r="M44" s="355"/>
      <c r="N44" s="353"/>
      <c r="O44" s="353"/>
    </row>
    <row r="45" spans="3:15" x14ac:dyDescent="0.25">
      <c r="C45" s="71"/>
      <c r="D45" s="353"/>
      <c r="E45" s="355"/>
      <c r="F45" s="355"/>
      <c r="G45" s="355"/>
      <c r="H45" s="355"/>
      <c r="I45" s="355"/>
      <c r="J45" s="355"/>
      <c r="K45" s="355"/>
      <c r="L45" s="355"/>
      <c r="M45" s="70"/>
      <c r="N45" s="353"/>
      <c r="O45" s="353"/>
    </row>
    <row r="46" spans="3:15" x14ac:dyDescent="0.25">
      <c r="C46" s="70"/>
      <c r="E46" s="353"/>
      <c r="F46" s="355"/>
      <c r="G46" s="355"/>
      <c r="H46" s="355"/>
      <c r="I46" s="355"/>
      <c r="J46" s="355"/>
      <c r="K46" s="355"/>
      <c r="L46" s="355"/>
      <c r="M46" s="355"/>
      <c r="N46" s="353"/>
      <c r="O46" s="353"/>
    </row>
    <row r="47" spans="3:15" x14ac:dyDescent="0.25">
      <c r="C47" s="70"/>
      <c r="D47" s="353"/>
      <c r="E47" s="355"/>
      <c r="F47" s="355"/>
      <c r="G47" s="355"/>
      <c r="H47" s="355"/>
      <c r="I47" s="355"/>
      <c r="J47" s="355"/>
      <c r="K47" s="355"/>
      <c r="L47" s="355"/>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4" t="s">
        <v>124</v>
      </c>
      <c r="D50" s="354"/>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6" t="s">
        <v>269</v>
      </c>
      <c r="E2" s="357"/>
      <c r="F2" s="357"/>
      <c r="G2" s="357"/>
      <c r="H2" s="357"/>
      <c r="I2" s="357"/>
      <c r="J2" s="357"/>
      <c r="K2" s="357"/>
      <c r="L2" s="357"/>
      <c r="M2" s="357"/>
    </row>
    <row r="3" spans="2:14" x14ac:dyDescent="0.25">
      <c r="B3" s="37"/>
      <c r="C3" s="39"/>
      <c r="D3" s="40">
        <v>2020</v>
      </c>
      <c r="E3" s="40">
        <v>2030</v>
      </c>
      <c r="F3" s="40">
        <v>2040</v>
      </c>
      <c r="G3" s="40">
        <v>2050</v>
      </c>
      <c r="H3" s="358" t="s">
        <v>73</v>
      </c>
      <c r="I3" s="358"/>
      <c r="J3" s="358" t="s">
        <v>74</v>
      </c>
      <c r="K3" s="358"/>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5"/>
      <c r="F42" s="355"/>
      <c r="G42" s="355"/>
      <c r="H42" s="355"/>
      <c r="I42" s="355"/>
      <c r="J42" s="355"/>
      <c r="K42" s="355"/>
      <c r="L42" s="355"/>
      <c r="M42" s="353"/>
      <c r="N42" s="353"/>
    </row>
    <row r="43" spans="2:14" x14ac:dyDescent="0.25">
      <c r="B43" s="71"/>
      <c r="C43" s="353"/>
      <c r="D43" s="355"/>
      <c r="E43" s="355"/>
      <c r="F43" s="355"/>
      <c r="G43" s="355"/>
      <c r="H43" s="355"/>
      <c r="I43" s="355"/>
      <c r="J43" s="355"/>
      <c r="K43" s="355"/>
      <c r="L43" s="70"/>
      <c r="M43" s="353"/>
      <c r="N43" s="353"/>
    </row>
    <row r="44" spans="2:14" x14ac:dyDescent="0.25">
      <c r="B44" s="70"/>
      <c r="D44" s="353"/>
      <c r="E44" s="355"/>
      <c r="F44" s="355"/>
      <c r="G44" s="355"/>
      <c r="H44" s="355"/>
      <c r="I44" s="355"/>
      <c r="J44" s="355"/>
      <c r="K44" s="355"/>
      <c r="L44" s="355"/>
      <c r="M44" s="353"/>
      <c r="N44" s="353"/>
    </row>
    <row r="45" spans="2:14" x14ac:dyDescent="0.25">
      <c r="B45" s="70"/>
      <c r="C45" s="353"/>
      <c r="D45" s="355"/>
      <c r="E45" s="355"/>
      <c r="F45" s="355"/>
      <c r="G45" s="355"/>
      <c r="H45" s="355"/>
      <c r="I45" s="355"/>
      <c r="J45" s="355"/>
      <c r="K45" s="355"/>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4" t="s">
        <v>124</v>
      </c>
      <c r="C48" s="354"/>
      <c r="D48" s="66"/>
      <c r="E48" s="66"/>
      <c r="F48" s="66"/>
      <c r="G48" s="66"/>
      <c r="H48" s="66"/>
      <c r="I48" s="66"/>
      <c r="J48" s="66"/>
      <c r="K48" s="66"/>
      <c r="L48" s="70"/>
      <c r="M48" s="353"/>
      <c r="N48" s="353"/>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368</v>
      </c>
      <c r="D3" s="359"/>
      <c r="E3" s="359"/>
      <c r="F3" s="359"/>
      <c r="G3" s="359"/>
      <c r="H3" s="359"/>
      <c r="I3" s="359"/>
      <c r="J3" s="359"/>
      <c r="K3" s="359"/>
      <c r="L3" s="359"/>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391</v>
      </c>
      <c r="D2" s="361"/>
      <c r="E2" s="361"/>
      <c r="F2" s="361"/>
      <c r="G2" s="361"/>
      <c r="H2" s="361"/>
      <c r="I2" s="361"/>
      <c r="J2" s="361"/>
      <c r="K2" s="361"/>
      <c r="L2" s="361"/>
      <c r="M2" s="361"/>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23" zoomScale="78" workbookViewId="0">
      <selection activeCell="O12" sqref="O12:R14"/>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429</v>
      </c>
      <c r="C1" s="363"/>
      <c r="D1" s="363"/>
      <c r="E1" s="363"/>
      <c r="F1" s="363"/>
      <c r="G1" s="363"/>
      <c r="H1" s="363"/>
      <c r="I1" s="363"/>
      <c r="J1" s="363"/>
      <c r="K1" s="363"/>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64" t="s">
        <v>526</v>
      </c>
      <c r="O1" s="366" t="s">
        <v>527</v>
      </c>
      <c r="P1" s="366"/>
      <c r="Q1" s="366"/>
      <c r="R1" s="366"/>
      <c r="S1" s="366"/>
      <c r="T1" s="366"/>
      <c r="U1" s="366"/>
      <c r="V1" s="366"/>
      <c r="W1" s="366"/>
      <c r="X1" s="366"/>
      <c r="Y1" s="366"/>
      <c r="Z1" s="367"/>
    </row>
    <row r="2" spans="1:26" ht="15" thickBot="1" x14ac:dyDescent="0.35">
      <c r="A2" s="249" t="s">
        <v>71</v>
      </c>
      <c r="B2" s="368" t="s">
        <v>528</v>
      </c>
      <c r="C2" s="369"/>
      <c r="D2" s="369"/>
      <c r="E2" s="369"/>
      <c r="F2" s="369"/>
      <c r="G2" s="369"/>
      <c r="H2" s="369"/>
      <c r="I2" s="369"/>
      <c r="J2" s="369"/>
      <c r="K2" s="370"/>
      <c r="N2" s="365"/>
      <c r="O2" s="371" t="s">
        <v>529</v>
      </c>
      <c r="P2" s="372"/>
      <c r="Q2" s="372"/>
      <c r="R2" s="373"/>
      <c r="S2" s="372" t="s">
        <v>530</v>
      </c>
      <c r="T2" s="372"/>
      <c r="U2" s="372"/>
      <c r="V2" s="372"/>
      <c r="W2" s="371" t="s">
        <v>531</v>
      </c>
      <c r="X2" s="372"/>
      <c r="Y2" s="372"/>
      <c r="Z2" s="374"/>
    </row>
    <row r="3" spans="1:26" ht="13.8" thickBot="1" x14ac:dyDescent="0.3">
      <c r="A3" s="375" t="s">
        <v>77</v>
      </c>
      <c r="B3" s="377">
        <v>2020</v>
      </c>
      <c r="C3" s="377">
        <v>2030</v>
      </c>
      <c r="D3" s="377">
        <v>2040</v>
      </c>
      <c r="E3" s="377">
        <v>2050</v>
      </c>
      <c r="F3" s="390">
        <v>2030</v>
      </c>
      <c r="G3" s="380"/>
      <c r="H3" s="379">
        <v>2050</v>
      </c>
      <c r="I3" s="380"/>
      <c r="J3" s="377" t="s">
        <v>75</v>
      </c>
      <c r="K3" s="377"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6"/>
      <c r="B4" s="378"/>
      <c r="C4" s="378"/>
      <c r="D4" s="378"/>
      <c r="E4" s="378"/>
      <c r="F4" s="253" t="s">
        <v>78</v>
      </c>
      <c r="G4" s="253" t="s">
        <v>79</v>
      </c>
      <c r="H4" s="253" t="s">
        <v>78</v>
      </c>
      <c r="I4" s="253" t="s">
        <v>79</v>
      </c>
      <c r="J4" s="378"/>
      <c r="K4" s="378"/>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81" t="s">
        <v>557</v>
      </c>
      <c r="C18" s="382"/>
      <c r="D18" s="382"/>
      <c r="E18" s="383"/>
      <c r="F18" s="286"/>
      <c r="G18" s="286"/>
      <c r="H18" s="286"/>
      <c r="I18" s="286"/>
      <c r="J18" s="278"/>
      <c r="K18" s="279"/>
    </row>
    <row r="19" spans="1:11" x14ac:dyDescent="0.25">
      <c r="A19" s="262" t="s">
        <v>558</v>
      </c>
      <c r="B19" s="384"/>
      <c r="C19" s="385"/>
      <c r="D19" s="385"/>
      <c r="E19" s="386"/>
      <c r="F19" s="286"/>
      <c r="G19" s="286"/>
      <c r="H19" s="286"/>
      <c r="I19" s="286"/>
      <c r="J19" s="278"/>
      <c r="K19" s="279"/>
    </row>
    <row r="20" spans="1:11" ht="15.6" x14ac:dyDescent="0.25">
      <c r="A20" s="262" t="s">
        <v>559</v>
      </c>
      <c r="B20" s="384"/>
      <c r="C20" s="385"/>
      <c r="D20" s="385"/>
      <c r="E20" s="386"/>
      <c r="F20" s="286"/>
      <c r="G20" s="286"/>
      <c r="H20" s="286"/>
      <c r="I20" s="286"/>
      <c r="J20" s="278"/>
      <c r="K20" s="279"/>
    </row>
    <row r="21" spans="1:11" x14ac:dyDescent="0.25">
      <c r="A21" s="262" t="s">
        <v>560</v>
      </c>
      <c r="B21" s="384"/>
      <c r="C21" s="385"/>
      <c r="D21" s="385"/>
      <c r="E21" s="386"/>
      <c r="F21" s="286"/>
      <c r="G21" s="286"/>
      <c r="H21" s="286"/>
      <c r="I21" s="286"/>
      <c r="J21" s="278"/>
      <c r="K21" s="279"/>
    </row>
    <row r="22" spans="1:11" ht="13.8" thickBot="1" x14ac:dyDescent="0.3">
      <c r="A22" s="287" t="s">
        <v>561</v>
      </c>
      <c r="B22" s="384"/>
      <c r="C22" s="385"/>
      <c r="D22" s="385"/>
      <c r="E22" s="386"/>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87" t="s">
        <v>557</v>
      </c>
      <c r="C38" s="388"/>
      <c r="D38" s="388"/>
      <c r="E38" s="389"/>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zoomScale="44" workbookViewId="0">
      <selection activeCell="L26" sqref="L26:N3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U15" sqref="U15"/>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2024-02-13T09:22:22Z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